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<sst xmlns="http://schemas.openxmlformats.org/spreadsheetml/2006/main" count="1829" uniqueCount="278">
  <si>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</si>
  <si>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</si>
  <si>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</si>
  <si>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</si>
  <si>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</si>
  <si>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</si>
  <si>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</si>
  <si>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</si>
  <si>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</si>
  <si>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</si>
  <si>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</si>
  <si>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</si>
  <si>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</si>
  <si>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</si>
  <si>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</si>
  <si>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</si>
  <si>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</si>
  <si>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</si>
  <si>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</si>
  <si>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</si>
  <si>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</si>
  <si>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</si>
  <si>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</si>
  <si>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</si>
  <si>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</si>
  <si>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</si>
  <si>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</si>
  <si>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</si>
  <si>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</si>
  <si>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</si>
  <si>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</si>
  <si>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</si>
  <si>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</si>
  <si>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</si>
  <si>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</si>
  <si>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</si>
  <si>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</si>
  <si>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</si>
  <si>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</si>
  <si>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</si>
  <si>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</si>
  <si>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</si>
  <si>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</si>
  <si>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</si>
  <si>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</si>
  <si>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</si>
  <si>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</si>
  <si>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</si>
  <si>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</si>
  <si>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</si>
  <si>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</si>
  <si>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</si>
  <si>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</si>
  <si>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</si>
  <si>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</si>
  <si>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</si>
  <si>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</si>
  <si>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</si>
  <si>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</si>
  <si>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</si>
  <si>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</si>
  <si>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</si>
  <si>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</si>
  <si>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</si>
  <si>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</si>
  <si>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</si>
  <si>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</si>
  <si>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</si>
  <si>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</si>
  <si>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</si>
  <si>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</si>
  <si>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</si>
  <si>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</si>
  <si>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</si>
  <si>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</si>
  <si>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</si>
  <si>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</si>
  <si>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</si>
  <si>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</si>
  <si>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</si>
  <si>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</si>
  <si>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</si>
  <si>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</si>
  <si>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</si>
  <si>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</si>
  <si>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</si>
  <si>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</si>
  <si>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</si>
  <si>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</si>
  <si>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</si>
  <si>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</si>
  <si>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</si>
  <si>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</si>
  <si>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</si>
  <si>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</si>
  <si>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</si>
  <si>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</si>
  <si>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</si>
  <si>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</si>
  <si>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</si>
  <si>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</si>
  <si>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</si>
  <si>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</si>
  <si>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</si>
  <si>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</si>
  <si>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</si>
  <si>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</si>
  <si>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</si>
  <si>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</si>
  <si>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</si>
  <si>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</si>
  <si>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</si>
  <si>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</si>
  <si>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</si>
  <si>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</si>
  <si>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</si>
  <si>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</si>
  <si>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</si>
  <si>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</si>
  <si>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</si>
  <si>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</si>
  <si>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</si>
  <si>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</si>
  <si>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</si>
  <si>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</si>
  <si>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</si>
  <si>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</si>
  <si>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</si>
  <si>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</si>
  <si>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</si>
  <si>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</si>
  <si>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</si>
  <si>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</si>
  <si>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</si>
  <si>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</si>
  <si>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</si>
  <si>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</si>
  <si>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</si>
  <si>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</si>
  <si>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</si>
  <si>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</si>
  <si>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</si>
  <si>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</si>
  <si>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</si>
  <si>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</si>
  <si>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</si>
  <si>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</si>
  <si>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</si>
  <si>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</si>
  <si>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</si>
  <si>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</si>
  <si>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</si>
  <si>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</si>
  <si>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</si>
  <si>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</si>
  <si>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</si>
  <si>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</si>
  <si>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</si>
  <si>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</si>
  <si>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</si>
  <si>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</si>
  <si>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</si>
  <si>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</si>
  <si>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</si>
  <si>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</si>
  <si>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</si>
  <si>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</si>
  <si>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</si>
  <si>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</si>
  <si>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</si>
  <si>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</si>
  <si>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</si>
  <si>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</si>
  <si>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</si>
  <si>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</si>
  <si>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</si>
  <si>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</si>
  <si>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</si>
  <si>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</si>
  <si>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</si>
  <si>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</si>
  <si>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</si>
  <si>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</si>
  <si>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</si>
  <si>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</si>
  <si>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</si>
  <si>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</si>
  <si>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</si>
  <si>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</si>
  <si>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</si>
  <si>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</si>
  <si>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</si>
  <si>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</si>
  <si>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</si>
  <si>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</si>
  <si>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</si>
  <si>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</si>
  <si>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</si>
  <si>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</si>
  <si>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</si>
  <si>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</si>
  <si>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</si>
  <si>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</si>
  <si>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</si>
  <si>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</si>
  <si>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</si>
  <si>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</si>
  <si>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</si>
  <si>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</si>
  <si>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</si>
  <si>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</si>
  <si>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</si>
  <si>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</si>
  <si>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</si>
  <si>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</si>
  <si>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</si>
  <si>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</si>
  <si>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</si>
  <si>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</si>
  <si>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</si>
  <si>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</si>
  <si>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</si>
  <si>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</si>
  <si>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</si>
  <si>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</si>
  <si>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</si>
  <si>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</si>
  <si>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</si>
  <si>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</si>
  <si>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</si>
  <si>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</si>
  <si>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</si>
  <si>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</si>
  <si>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</si>
  <si>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</si>
  <si>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</si>
  <si>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</si>
  <si>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</si>
  <si>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</si>
  <si>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</si>
  <si>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</si>
  <si>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</si>
  <si>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</si>
  <si>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</si>
  <si>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</si>
  <si>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</si>
  <si>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</si>
  <si>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</si>
  <si>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</si>
  <si>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</si>
  <si>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</si>
  <si>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</si>
  <si>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</si>
  <si>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</si>
  <si>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</si>
  <si>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</si>
  <si>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</si>
  <si>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</si>
  <si>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</si>
  <si>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</si>
  <si>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</si>
  <si>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</si>
  <si>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</si>
  <si>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</si>
  <si>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</si>
  <si>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</si>
  <si>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</si>
  <si>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</si>
  <si>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</si>
  <si>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</si>
  <si>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</si>
  <si>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</si>
  <si>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</si>
  <si>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</si>
  <si>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</si>
  <si>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</si>
  <si>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</si>
  <si>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23.09.14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</si>
</sst>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6">
          <cell r="G6">
            <v>121980306.13</v>
          </cell>
        </row>
        <row r="8">
          <cell r="G8">
            <v>0</v>
          </cell>
        </row>
        <row r="9">
          <cell r="G9">
            <v>9020596.530000001</v>
          </cell>
        </row>
        <row r="10">
          <cell r="G10">
            <v>112959709.6</v>
          </cell>
        </row>
      </sheetData>
      <sheetData sheetId="13">
        <row r="52">
          <cell r="B52">
            <v>12629945.209999997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2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3" sqref="D14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336122.55</v>
      </c>
      <c r="G8" s="22">
        <f aca="true" t="shared" si="0" ref="G8:G30">F8-E8</f>
        <v>-15236.249999999942</v>
      </c>
      <c r="H8" s="51">
        <f>F8/E8*100</f>
        <v>95.66362077739338</v>
      </c>
      <c r="I8" s="36">
        <f aca="true" t="shared" si="1" ref="I8:I17">F8-D8</f>
        <v>-152353.75</v>
      </c>
      <c r="J8" s="36">
        <f aca="true" t="shared" si="2" ref="J8:J14">F8/D8*100</f>
        <v>68.81041106804977</v>
      </c>
      <c r="K8" s="36">
        <f>F8-344287.2</f>
        <v>-8164.650000000023</v>
      </c>
      <c r="L8" s="136">
        <f>F8/344287.2</f>
        <v>0.9762853512997287</v>
      </c>
      <c r="M8" s="22">
        <f>M10+M19+M33+M56+M68+M30</f>
        <v>39345.409999999996</v>
      </c>
      <c r="N8" s="22">
        <f>N10+N19+N33+N56+N68+N30</f>
        <v>27186.780000000006</v>
      </c>
      <c r="O8" s="36">
        <f aca="true" t="shared" si="3" ref="O8:O71">N8-M8</f>
        <v>-12158.62999999999</v>
      </c>
      <c r="P8" s="36">
        <f>F8/M8*100</f>
        <v>854.2865609991102</v>
      </c>
      <c r="Q8" s="36">
        <f>N8-37510.4</f>
        <v>-10323.619999999995</v>
      </c>
      <c r="R8" s="134">
        <f>N8/37510.4</f>
        <v>0.7247797944036856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275085</v>
      </c>
      <c r="G9" s="22">
        <f t="shared" si="0"/>
        <v>275085</v>
      </c>
      <c r="H9" s="20"/>
      <c r="I9" s="56">
        <f t="shared" si="1"/>
        <v>-111928.20000000001</v>
      </c>
      <c r="J9" s="56">
        <f t="shared" si="2"/>
        <v>71.07897094982806</v>
      </c>
      <c r="K9" s="56"/>
      <c r="L9" s="135"/>
      <c r="M9" s="20">
        <f>M10+M17</f>
        <v>32323.5</v>
      </c>
      <c r="N9" s="20">
        <f>N10+N17</f>
        <v>24806.570000000007</v>
      </c>
      <c r="O9" s="36">
        <f t="shared" si="3"/>
        <v>-7516.929999999993</v>
      </c>
      <c r="P9" s="56">
        <f>F9/M9*100</f>
        <v>851.0371710984268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275085</v>
      </c>
      <c r="G10" s="49">
        <f t="shared" si="0"/>
        <v>-12374.5</v>
      </c>
      <c r="H10" s="40">
        <f aca="true" t="shared" si="4" ref="H10:H17">F10/E10*100</f>
        <v>95.6952196744237</v>
      </c>
      <c r="I10" s="56">
        <f t="shared" si="1"/>
        <v>-111928.20000000001</v>
      </c>
      <c r="J10" s="56">
        <f t="shared" si="2"/>
        <v>71.07897094982806</v>
      </c>
      <c r="K10" s="141">
        <f>F10-272674.4</f>
        <v>2410.5999999999767</v>
      </c>
      <c r="L10" s="142">
        <f>F10/272674.4</f>
        <v>1.0088405805605511</v>
      </c>
      <c r="M10" s="40">
        <f>E10-серпень!E10</f>
        <v>32323.5</v>
      </c>
      <c r="N10" s="40">
        <f>F10-серпень!F10</f>
        <v>24806.570000000007</v>
      </c>
      <c r="O10" s="53">
        <f t="shared" si="3"/>
        <v>-7516.929999999993</v>
      </c>
      <c r="P10" s="56">
        <f aca="true" t="shared" si="5" ref="P10:P17">N10/M10*100</f>
        <v>76.74469039553269</v>
      </c>
      <c r="Q10" s="141">
        <f>N10-29967.1</f>
        <v>-5160.529999999992</v>
      </c>
      <c r="R10" s="142">
        <f>N10/29967.1</f>
        <v>0.8277934801832679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56615.2</v>
      </c>
      <c r="G33" s="49">
        <f aca="true" t="shared" si="14" ref="G33:G72">F33-E33</f>
        <v>-1086.9000000000015</v>
      </c>
      <c r="H33" s="40">
        <f aca="true" t="shared" si="15" ref="H33:H67">F33/E33*100</f>
        <v>98.11635971654411</v>
      </c>
      <c r="I33" s="56">
        <f>F33-D33</f>
        <v>-36950.8</v>
      </c>
      <c r="J33" s="56">
        <f aca="true" t="shared" si="16" ref="J33:J72">F33/D33*100</f>
        <v>60.508304298569996</v>
      </c>
      <c r="K33" s="141">
        <f>F33-60413.2</f>
        <v>-3798</v>
      </c>
      <c r="L33" s="142">
        <f>F33/60413.2</f>
        <v>0.9371329444558474</v>
      </c>
      <c r="M33" s="40">
        <f>E33-серпень!E33</f>
        <v>6401.309999999998</v>
      </c>
      <c r="N33" s="40">
        <f>F33-серпень!F33</f>
        <v>2322.459999999999</v>
      </c>
      <c r="O33" s="53">
        <f t="shared" si="3"/>
        <v>-4078.8499999999985</v>
      </c>
      <c r="P33" s="56">
        <f aca="true" t="shared" si="17" ref="P33:P67">N33/M33*100</f>
        <v>36.281011230513755</v>
      </c>
      <c r="Q33" s="141">
        <f>N33-6624.9</f>
        <v>-4302.4400000000005</v>
      </c>
      <c r="R33" s="142">
        <f>N33/6624.9</f>
        <v>0.35056529155157046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42136.1</v>
      </c>
      <c r="G55" s="144">
        <f t="shared" si="14"/>
        <v>-335.73999999999796</v>
      </c>
      <c r="H55" s="146">
        <f t="shared" si="15"/>
        <v>99.20949975324828</v>
      </c>
      <c r="I55" s="145">
        <f t="shared" si="18"/>
        <v>-28129.9</v>
      </c>
      <c r="J55" s="145">
        <f t="shared" si="16"/>
        <v>59.96655565992087</v>
      </c>
      <c r="K55" s="148">
        <f>F55-43813.51</f>
        <v>-1677.4100000000035</v>
      </c>
      <c r="L55" s="149">
        <f>F55/43813.51</f>
        <v>0.9617147770174085</v>
      </c>
      <c r="M55" s="40">
        <f>E55-серпень!E55</f>
        <v>4681.3499999999985</v>
      </c>
      <c r="N55" s="40">
        <f>F55-серпень!F55</f>
        <v>1995.8300000000017</v>
      </c>
      <c r="O55" s="148">
        <f t="shared" si="3"/>
        <v>-2685.519999999997</v>
      </c>
      <c r="P55" s="148">
        <f t="shared" si="17"/>
        <v>42.63364200497725</v>
      </c>
      <c r="Q55" s="160">
        <f>N55-4961.43</f>
        <v>-2965.5999999999985</v>
      </c>
      <c r="R55" s="161">
        <f>N55/7961.43</f>
        <v>0.2506873765140184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4833.7</v>
      </c>
      <c r="G56" s="49">
        <f t="shared" si="14"/>
        <v>-279.8000000000002</v>
      </c>
      <c r="H56" s="40">
        <f t="shared" si="15"/>
        <v>94.52820964114598</v>
      </c>
      <c r="I56" s="56">
        <f t="shared" si="18"/>
        <v>-2026.3000000000002</v>
      </c>
      <c r="J56" s="56">
        <f t="shared" si="16"/>
        <v>70.46209912536443</v>
      </c>
      <c r="K56" s="56">
        <f>F56-4694.5</f>
        <v>139.19999999999982</v>
      </c>
      <c r="L56" s="135">
        <f>F56/4694.5</f>
        <v>1.0296517200979869</v>
      </c>
      <c r="M56" s="40">
        <f>E56-серпень!E56</f>
        <v>609.6000000000004</v>
      </c>
      <c r="N56" s="40">
        <f>F56-серпень!F56</f>
        <v>546.4099999999999</v>
      </c>
      <c r="O56" s="53">
        <f t="shared" si="3"/>
        <v>-63.19000000000051</v>
      </c>
      <c r="P56" s="56">
        <f t="shared" si="17"/>
        <v>89.63418635170596</v>
      </c>
      <c r="Q56" s="56">
        <f>N56-556.2</f>
        <v>-9.790000000000191</v>
      </c>
      <c r="R56" s="135">
        <f>N56/556.2</f>
        <v>0.9823984178353107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9649.960000000001</v>
      </c>
      <c r="G74" s="50">
        <f aca="true" t="shared" si="24" ref="G74:G92">F74-E74</f>
        <v>-2530.039999999999</v>
      </c>
      <c r="H74" s="51">
        <f aca="true" t="shared" si="25" ref="H74:H87">F74/E74*100</f>
        <v>79.22791461412152</v>
      </c>
      <c r="I74" s="36">
        <f aca="true" t="shared" si="26" ref="I74:I92">F74-D74</f>
        <v>-8708.339999999998</v>
      </c>
      <c r="J74" s="36">
        <f aca="true" t="shared" si="27" ref="J74:J92">F74/D74*100</f>
        <v>52.56456207818807</v>
      </c>
      <c r="K74" s="36">
        <f>F74-14585.4</f>
        <v>-4935.439999999999</v>
      </c>
      <c r="L74" s="136">
        <f>F74/14585.4</f>
        <v>0.6616177821657274</v>
      </c>
      <c r="M74" s="22">
        <f>M77+M86+M88+M89+M94+M95+M96+M97+M99+M87+M104</f>
        <v>1580.5</v>
      </c>
      <c r="N74" s="22">
        <f>N77+N86+N88+N89+N94+N95+N96+N97+N99+N32+N104+N87+N103</f>
        <v>1040.2299999999998</v>
      </c>
      <c r="O74" s="55">
        <f aca="true" t="shared" si="28" ref="O74:O92">N74-M74</f>
        <v>-540.2700000000002</v>
      </c>
      <c r="P74" s="36">
        <f>N74/M74*100</f>
        <v>65.81651376146787</v>
      </c>
      <c r="Q74" s="36">
        <f>N74-1622.9</f>
        <v>-582.6700000000003</v>
      </c>
      <c r="R74" s="136">
        <f>N74/1622.9</f>
        <v>0.6409698687534658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97.2</v>
      </c>
      <c r="G89" s="49">
        <f t="shared" si="24"/>
        <v>-31.799999999999997</v>
      </c>
      <c r="H89" s="40">
        <f>F89/E89*100</f>
        <v>75.34883720930233</v>
      </c>
      <c r="I89" s="56">
        <f t="shared" si="26"/>
        <v>-77.8</v>
      </c>
      <c r="J89" s="56">
        <f t="shared" si="27"/>
        <v>55.54285714285715</v>
      </c>
      <c r="K89" s="56">
        <f>F89-123.2</f>
        <v>-26</v>
      </c>
      <c r="L89" s="135">
        <f>F89/123.2</f>
        <v>0.788961038961039</v>
      </c>
      <c r="M89" s="40">
        <f>E89-серпень!E89</f>
        <v>15</v>
      </c>
      <c r="N89" s="40">
        <f>F89-серпень!F89</f>
        <v>14.840000000000003</v>
      </c>
      <c r="O89" s="53">
        <f t="shared" si="28"/>
        <v>-0.1599999999999966</v>
      </c>
      <c r="P89" s="56">
        <f>N89/M89*100</f>
        <v>98.93333333333335</v>
      </c>
      <c r="Q89" s="56">
        <f>N89-14.8</f>
        <v>0.0400000000000027</v>
      </c>
      <c r="R89" s="135">
        <f>N89/14.8</f>
        <v>1.002702702702703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759.8</v>
      </c>
      <c r="G96" s="49">
        <f t="shared" si="31"/>
        <v>-34.700000000000045</v>
      </c>
      <c r="H96" s="40">
        <f>F96/E96*100</f>
        <v>95.63247325361863</v>
      </c>
      <c r="I96" s="56">
        <f t="shared" si="32"/>
        <v>-440.20000000000005</v>
      </c>
      <c r="J96" s="56">
        <f>F96/D96*100</f>
        <v>63.31666666666666</v>
      </c>
      <c r="K96" s="56">
        <f>F96-795.5</f>
        <v>-35.700000000000045</v>
      </c>
      <c r="L96" s="135">
        <f>F96/795.5</f>
        <v>0.95512256442489</v>
      </c>
      <c r="M96" s="40">
        <f>E96-серпень!E96</f>
        <v>100</v>
      </c>
      <c r="N96" s="40">
        <f>F96-серпень!F96</f>
        <v>74.13999999999999</v>
      </c>
      <c r="O96" s="53">
        <f t="shared" si="33"/>
        <v>-25.860000000000014</v>
      </c>
      <c r="P96" s="56">
        <f>N96/M96*100</f>
        <v>74.13999999999999</v>
      </c>
      <c r="Q96" s="56">
        <f>N96-102.1</f>
        <v>-27.960000000000008</v>
      </c>
      <c r="R96" s="135">
        <f>N96/102.1</f>
        <v>0.72615083251714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3024.1</v>
      </c>
      <c r="G99" s="49">
        <f t="shared" si="31"/>
        <v>17.09999999999991</v>
      </c>
      <c r="H99" s="40">
        <f>F99/E99*100</f>
        <v>100.56867309610908</v>
      </c>
      <c r="I99" s="56">
        <f t="shared" si="32"/>
        <v>-1548.6</v>
      </c>
      <c r="J99" s="56">
        <f>F99/D99*100</f>
        <v>66.13379403853304</v>
      </c>
      <c r="K99" s="56">
        <f>F99-3411.3</f>
        <v>-387.2000000000003</v>
      </c>
      <c r="L99" s="135">
        <f>F99/3411.3</f>
        <v>0.8864948846480813</v>
      </c>
      <c r="M99" s="40">
        <f>E99-серпень!E99</f>
        <v>410</v>
      </c>
      <c r="N99" s="40">
        <f>F99-серпень!F99</f>
        <v>321.44000000000005</v>
      </c>
      <c r="O99" s="53">
        <f t="shared" si="33"/>
        <v>-88.55999999999995</v>
      </c>
      <c r="P99" s="56">
        <f>N99/M99*100</f>
        <v>78.40000000000002</v>
      </c>
      <c r="Q99" s="56">
        <f>N99-432.2</f>
        <v>-110.75999999999993</v>
      </c>
      <c r="R99" s="135">
        <f>N99/432.2</f>
        <v>0.7437297547431746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753.4</v>
      </c>
      <c r="G102" s="144"/>
      <c r="H102" s="146"/>
      <c r="I102" s="145"/>
      <c r="J102" s="145"/>
      <c r="K102" s="148">
        <f>F102-545.2</f>
        <v>208.19999999999993</v>
      </c>
      <c r="L102" s="149">
        <f>F102/545.2</f>
        <v>1.3818782098312545</v>
      </c>
      <c r="M102" s="40">
        <f>E102-серпень!E102</f>
        <v>0</v>
      </c>
      <c r="N102" s="40">
        <f>F102-серпень!F102</f>
        <v>117.60000000000002</v>
      </c>
      <c r="O102" s="53"/>
      <c r="P102" s="60"/>
      <c r="Q102" s="60">
        <f>N102-124.1</f>
        <v>-6.499999999999972</v>
      </c>
      <c r="R102" s="138">
        <f>N102/124.1</f>
        <v>0.9476228847703467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-47.980000000000004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17.52</v>
      </c>
      <c r="G105" s="49">
        <f>F105-E105</f>
        <v>-6.68</v>
      </c>
      <c r="H105" s="40">
        <f>F105/E105*100</f>
        <v>72.39669421487604</v>
      </c>
      <c r="I105" s="56">
        <f t="shared" si="34"/>
        <v>-27.48</v>
      </c>
      <c r="J105" s="56">
        <f aca="true" t="shared" si="36" ref="J105:J110">F105/D105*100</f>
        <v>38.93333333333333</v>
      </c>
      <c r="K105" s="56">
        <f>F105-13.4</f>
        <v>4.119999999999999</v>
      </c>
      <c r="L105" s="135">
        <f>F105/13.4</f>
        <v>1.3074626865671641</v>
      </c>
      <c r="M105" s="40">
        <f>E105-серпень!E105</f>
        <v>3</v>
      </c>
      <c r="N105" s="40">
        <f>F105-серпень!F105</f>
        <v>0.28999999999999915</v>
      </c>
      <c r="O105" s="53">
        <f t="shared" si="35"/>
        <v>-2.710000000000001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345790.4</v>
      </c>
      <c r="G107" s="50">
        <f>F107-E107</f>
        <v>-17772.59999999992</v>
      </c>
      <c r="H107" s="51">
        <f>F107/E107*100</f>
        <v>95.11154875496133</v>
      </c>
      <c r="I107" s="36">
        <f t="shared" si="34"/>
        <v>-161089.19999999995</v>
      </c>
      <c r="J107" s="36">
        <f t="shared" si="36"/>
        <v>68.21943514791285</v>
      </c>
      <c r="K107" s="36">
        <f>F107-358888.5</f>
        <v>-13098.099999999977</v>
      </c>
      <c r="L107" s="136">
        <f>F107/358888.5</f>
        <v>0.9635037065829638</v>
      </c>
      <c r="M107" s="22">
        <f>M8+M74+M105+M106</f>
        <v>40928.909999999996</v>
      </c>
      <c r="N107" s="22">
        <f>N8+N74+N105+N106</f>
        <v>28227.300000000007</v>
      </c>
      <c r="O107" s="55">
        <f t="shared" si="35"/>
        <v>-12701.60999999999</v>
      </c>
      <c r="P107" s="36">
        <f>N107/M107*100</f>
        <v>68.96665462139111</v>
      </c>
      <c r="Q107" s="36">
        <f>N107-39133.2</f>
        <v>-10905.89999999999</v>
      </c>
      <c r="R107" s="136">
        <f>N107/39133.2</f>
        <v>0.7213133605225233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275844.8</v>
      </c>
      <c r="G108" s="71">
        <f>G10-G18+G96</f>
        <v>-12409.2</v>
      </c>
      <c r="H108" s="72">
        <f>F108/E108*100</f>
        <v>95.6950467296204</v>
      </c>
      <c r="I108" s="52">
        <f t="shared" si="34"/>
        <v>-112368.40000000002</v>
      </c>
      <c r="J108" s="52">
        <f t="shared" si="36"/>
        <v>71.0549770074794</v>
      </c>
      <c r="K108" s="52">
        <f>F108-273558.9</f>
        <v>2285.899999999965</v>
      </c>
      <c r="L108" s="137">
        <f>F108/273558.9</f>
        <v>1.0083561529162457</v>
      </c>
      <c r="M108" s="71">
        <f>M10-M18+M96</f>
        <v>32423.5</v>
      </c>
      <c r="N108" s="71">
        <f>N10-N18+N96</f>
        <v>24880.710000000006</v>
      </c>
      <c r="O108" s="53">
        <f t="shared" si="35"/>
        <v>-7542.789999999994</v>
      </c>
      <c r="P108" s="52">
        <f>N108/M108*100</f>
        <v>76.73665705429705</v>
      </c>
      <c r="Q108" s="52">
        <f>N108-30069.2</f>
        <v>-5188.489999999994</v>
      </c>
      <c r="R108" s="137">
        <f>N108/30069.2</f>
        <v>0.8274483524669763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69945.60000000003</v>
      </c>
      <c r="G109" s="62">
        <f>F109-E109</f>
        <v>-5363.399999999907</v>
      </c>
      <c r="H109" s="72">
        <f>F109/E109*100</f>
        <v>92.87814205473461</v>
      </c>
      <c r="I109" s="52">
        <f t="shared" si="34"/>
        <v>-48720.79999999993</v>
      </c>
      <c r="J109" s="52">
        <f t="shared" si="36"/>
        <v>58.94305380461534</v>
      </c>
      <c r="K109" s="52">
        <f>F109-85329.7</f>
        <v>-15384.099999999962</v>
      </c>
      <c r="L109" s="137">
        <f>F109/85329.7</f>
        <v>0.8197099017106592</v>
      </c>
      <c r="M109" s="71">
        <f>M107-M108</f>
        <v>8505.409999999996</v>
      </c>
      <c r="N109" s="71">
        <f>N107-N108</f>
        <v>3346.59</v>
      </c>
      <c r="O109" s="53">
        <f t="shared" si="35"/>
        <v>-5158.819999999996</v>
      </c>
      <c r="P109" s="52">
        <f>N109/M109*100</f>
        <v>39.34660410256533</v>
      </c>
      <c r="Q109" s="52">
        <f>N109-9064</f>
        <v>-5717.41</v>
      </c>
      <c r="R109" s="137">
        <f>N109/9064</f>
        <v>0.36921778464254196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275844.8</v>
      </c>
      <c r="G110" s="111">
        <f>F110-E110</f>
        <v>-7039.299999999988</v>
      </c>
      <c r="H110" s="72">
        <f>F110/E110*100</f>
        <v>97.51159573832535</v>
      </c>
      <c r="I110" s="81">
        <f t="shared" si="34"/>
        <v>-112368.40000000002</v>
      </c>
      <c r="J110" s="52">
        <f t="shared" si="36"/>
        <v>71.0549770074794</v>
      </c>
      <c r="K110" s="52"/>
      <c r="L110" s="137"/>
      <c r="M110" s="72">
        <f>E110-серпень!E110</f>
        <v>32423.49999999997</v>
      </c>
      <c r="N110" s="71">
        <f>N108</f>
        <v>24880.710000000006</v>
      </c>
      <c r="O110" s="63">
        <f t="shared" si="35"/>
        <v>-7542.7899999999645</v>
      </c>
      <c r="P110" s="52">
        <f>N110/M110*100</f>
        <v>76.73665705429713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1093.5</v>
      </c>
      <c r="G115" s="49">
        <f t="shared" si="37"/>
        <v>-1586.1</v>
      </c>
      <c r="H115" s="40">
        <f aca="true" t="shared" si="39" ref="H115:H126">F115/E115*100</f>
        <v>40.80832960143305</v>
      </c>
      <c r="I115" s="60">
        <f t="shared" si="38"/>
        <v>-2578</v>
      </c>
      <c r="J115" s="60">
        <f aca="true" t="shared" si="40" ref="J115:J121">F115/D115*100</f>
        <v>29.783467247718914</v>
      </c>
      <c r="K115" s="60">
        <f>F115-3077.6</f>
        <v>-1984.1</v>
      </c>
      <c r="L115" s="138">
        <f>F115/3077.6</f>
        <v>0.3553093319469717</v>
      </c>
      <c r="M115" s="40">
        <f>E115-серпень!E115</f>
        <v>327.5</v>
      </c>
      <c r="N115" s="40">
        <f>F115-серпень!F115</f>
        <v>107.98000000000002</v>
      </c>
      <c r="O115" s="53">
        <f aca="true" t="shared" si="41" ref="O115:O126">N115-M115</f>
        <v>-219.51999999999998</v>
      </c>
      <c r="P115" s="60">
        <f>N115/M115*100</f>
        <v>32.97099236641222</v>
      </c>
      <c r="Q115" s="60">
        <f>N115-150.5</f>
        <v>-42.51999999999998</v>
      </c>
      <c r="R115" s="138">
        <f>N115/150.5</f>
        <v>0.7174750830564786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1328.95</v>
      </c>
      <c r="G117" s="62">
        <f t="shared" si="37"/>
        <v>-1551.1499999999999</v>
      </c>
      <c r="H117" s="72">
        <f t="shared" si="39"/>
        <v>46.142495052255136</v>
      </c>
      <c r="I117" s="61">
        <f t="shared" si="38"/>
        <v>-2610.6499999999996</v>
      </c>
      <c r="J117" s="61">
        <f t="shared" si="40"/>
        <v>33.73312011371713</v>
      </c>
      <c r="K117" s="61">
        <f>F117-3299.2</f>
        <v>-1970.2499999999998</v>
      </c>
      <c r="L117" s="139">
        <f>F117/3299.2</f>
        <v>0.4028097720659554</v>
      </c>
      <c r="M117" s="62">
        <f>M115+M116+M114</f>
        <v>349.5</v>
      </c>
      <c r="N117" s="38">
        <f>SUM(N114:N116)</f>
        <v>137.07000000000002</v>
      </c>
      <c r="O117" s="61">
        <f t="shared" si="41"/>
        <v>-212.42999999999998</v>
      </c>
      <c r="P117" s="61">
        <f>N117/M117*100</f>
        <v>39.21888412017168</v>
      </c>
      <c r="Q117" s="61">
        <f>N117-175.8</f>
        <v>-38.72999999999999</v>
      </c>
      <c r="R117" s="139">
        <f>N117/175.8</f>
        <v>0.7796928327645052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295.6</v>
      </c>
      <c r="G119" s="49">
        <f t="shared" si="37"/>
        <v>108.10000000000002</v>
      </c>
      <c r="H119" s="40">
        <f t="shared" si="39"/>
        <v>157.65333333333336</v>
      </c>
      <c r="I119" s="60">
        <f t="shared" si="38"/>
        <v>28.400000000000034</v>
      </c>
      <c r="J119" s="60">
        <f t="shared" si="40"/>
        <v>110.62874251497009</v>
      </c>
      <c r="K119" s="60">
        <f>F119-174.4</f>
        <v>121.20000000000002</v>
      </c>
      <c r="L119" s="138">
        <f>F119/174.4</f>
        <v>1.694954128440367</v>
      </c>
      <c r="M119" s="40">
        <f>E119-серпень!E119</f>
        <v>5</v>
      </c>
      <c r="N119" s="40">
        <f>F119-серпень!F119</f>
        <v>6.800000000000011</v>
      </c>
      <c r="O119" s="53">
        <f>N119-M119</f>
        <v>1.8000000000000114</v>
      </c>
      <c r="P119" s="60">
        <f>N119/M119*100</f>
        <v>136.00000000000023</v>
      </c>
      <c r="Q119" s="60">
        <f>N119-1.4</f>
        <v>5.400000000000011</v>
      </c>
      <c r="R119" s="138">
        <f>N119/1.4</f>
        <v>4.857142857142866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59028.6</v>
      </c>
      <c r="G120" s="49">
        <f t="shared" si="37"/>
        <v>6516</v>
      </c>
      <c r="H120" s="40">
        <f t="shared" si="39"/>
        <v>112.40845054329817</v>
      </c>
      <c r="I120" s="53">
        <f t="shared" si="38"/>
        <v>-12947.390000000007</v>
      </c>
      <c r="J120" s="60">
        <f t="shared" si="40"/>
        <v>82.01151522889785</v>
      </c>
      <c r="K120" s="60">
        <f>F120-50659.1</f>
        <v>8369.5</v>
      </c>
      <c r="L120" s="138">
        <f>F120/50659.1</f>
        <v>1.1652121731337508</v>
      </c>
      <c r="M120" s="40">
        <f>E120-серпень!E120</f>
        <v>3100</v>
      </c>
      <c r="N120" s="40">
        <f>F120-серпень!F120</f>
        <v>2913.970000000001</v>
      </c>
      <c r="O120" s="53">
        <f t="shared" si="41"/>
        <v>-186.02999999999884</v>
      </c>
      <c r="P120" s="60">
        <f aca="true" t="shared" si="42" ref="P120:P125">N120/M120*100</f>
        <v>93.99903225806455</v>
      </c>
      <c r="Q120" s="60">
        <f>N120-3034.9</f>
        <v>-120.92999999999893</v>
      </c>
      <c r="R120" s="138">
        <f>N120/3034.9</f>
        <v>0.9601535470690965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2358.2</v>
      </c>
      <c r="G122" s="49">
        <f t="shared" si="37"/>
        <v>-10569.23</v>
      </c>
      <c r="H122" s="40">
        <f t="shared" si="39"/>
        <v>18.241831516395756</v>
      </c>
      <c r="I122" s="60">
        <f t="shared" si="38"/>
        <v>-20718.93</v>
      </c>
      <c r="J122" s="60">
        <f>F122/D122*100</f>
        <v>10.218775038317157</v>
      </c>
      <c r="K122" s="60">
        <f>F122-22303.9</f>
        <v>-19945.7</v>
      </c>
      <c r="L122" s="138">
        <f>F122/22303.9</f>
        <v>0.10573038795905647</v>
      </c>
      <c r="M122" s="40">
        <f>E122-серпень!E122</f>
        <v>3313.4299999999985</v>
      </c>
      <c r="N122" s="40">
        <f>F122-серпень!F122</f>
        <v>66.40999999999985</v>
      </c>
      <c r="O122" s="53">
        <f t="shared" si="41"/>
        <v>-3247.0199999999986</v>
      </c>
      <c r="P122" s="60">
        <f t="shared" si="42"/>
        <v>2.0042674811298227</v>
      </c>
      <c r="Q122" s="60">
        <f>N122-7566.7</f>
        <v>-7500.29</v>
      </c>
      <c r="R122" s="138">
        <f>N122/7566.7</f>
        <v>0.008776613318884038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64378.189999999995</v>
      </c>
      <c r="G124" s="62">
        <f t="shared" si="37"/>
        <v>-4403.560000000005</v>
      </c>
      <c r="H124" s="72">
        <f t="shared" si="39"/>
        <v>93.59777848048356</v>
      </c>
      <c r="I124" s="61">
        <f t="shared" si="38"/>
        <v>-37692.13000000001</v>
      </c>
      <c r="J124" s="61">
        <f>F124/D124*100</f>
        <v>63.07238970153125</v>
      </c>
      <c r="K124" s="61">
        <f>F124-76087.4</f>
        <v>-11709.21</v>
      </c>
      <c r="L124" s="139">
        <f>F124/76087.4</f>
        <v>0.8461084226823363</v>
      </c>
      <c r="M124" s="62">
        <f>M120+M121+M122+M123+M119</f>
        <v>6608.019999999999</v>
      </c>
      <c r="N124" s="62">
        <f>N120+N121+N122+N123+N119</f>
        <v>3063.6700000000014</v>
      </c>
      <c r="O124" s="61">
        <f t="shared" si="41"/>
        <v>-3544.349999999997</v>
      </c>
      <c r="P124" s="61">
        <f t="shared" si="42"/>
        <v>46.362904470628145</v>
      </c>
      <c r="Q124" s="61">
        <f>N124-10790.5</f>
        <v>-7726.829999999998</v>
      </c>
      <c r="R124" s="139">
        <f>N124/10790.5</f>
        <v>0.28392289513924296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7367.5</v>
      </c>
      <c r="G128" s="49">
        <f aca="true" t="shared" si="43" ref="G128:G135">F128-E128</f>
        <v>649</v>
      </c>
      <c r="H128" s="40">
        <f>F128/E128*100</f>
        <v>109.65989432164918</v>
      </c>
      <c r="I128" s="60">
        <f aca="true" t="shared" si="44" ref="I128:I135">F128-D128</f>
        <v>-1332.5</v>
      </c>
      <c r="J128" s="60">
        <f>F128/D128*100</f>
        <v>84.683908045977</v>
      </c>
      <c r="K128" s="60">
        <f>F128-8715.2</f>
        <v>-1347.7000000000007</v>
      </c>
      <c r="L128" s="138">
        <f>F128/8715.2</f>
        <v>0.8453621259408848</v>
      </c>
      <c r="M128" s="40">
        <f>E128-серпень!E128</f>
        <v>1</v>
      </c>
      <c r="N128" s="40">
        <f>F128-серпень!F128</f>
        <v>3.9799999999995634</v>
      </c>
      <c r="O128" s="53">
        <f aca="true" t="shared" si="45" ref="O128:O135">N128-M128</f>
        <v>2.9799999999995634</v>
      </c>
      <c r="P128" s="60">
        <f>N128/M128*100</f>
        <v>397.99999999995634</v>
      </c>
      <c r="Q128" s="60">
        <f>N128-35</f>
        <v>-31.020000000000437</v>
      </c>
      <c r="R128" s="162">
        <f>N128/35</f>
        <v>0.11371428571427324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7402.04</v>
      </c>
      <c r="G130" s="62">
        <f t="shared" si="43"/>
        <v>649.1800000000003</v>
      </c>
      <c r="H130" s="72">
        <f>F130/E130*100</f>
        <v>109.61340824480294</v>
      </c>
      <c r="I130" s="61">
        <f t="shared" si="44"/>
        <v>-1348.6600000000008</v>
      </c>
      <c r="J130" s="61">
        <f>F130/D130*100</f>
        <v>84.58797581907731</v>
      </c>
      <c r="K130" s="61">
        <f>F130-8836.4</f>
        <v>-1434.3599999999997</v>
      </c>
      <c r="L130" s="139">
        <f>G130/8836.4</f>
        <v>0.0734665700964194</v>
      </c>
      <c r="M130" s="62">
        <f>M125+M128+M129+M127</f>
        <v>5</v>
      </c>
      <c r="N130" s="62">
        <f>N125+N128+N129+N127</f>
        <v>4.0199999999995635</v>
      </c>
      <c r="O130" s="61">
        <f t="shared" si="45"/>
        <v>-0.9800000000004365</v>
      </c>
      <c r="P130" s="61">
        <f>N130/M130*100</f>
        <v>80.39999999999127</v>
      </c>
      <c r="Q130" s="61">
        <f>N130-35.8</f>
        <v>-31.780000000000435</v>
      </c>
      <c r="R130" s="137">
        <f>N130/35.8</f>
        <v>0.11229050279328391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24</v>
      </c>
      <c r="G131" s="49">
        <f>F131-E131</f>
        <v>0.5500000000000007</v>
      </c>
      <c r="H131" s="40">
        <f>F131/E131*100</f>
        <v>102.3454157782516</v>
      </c>
      <c r="I131" s="60">
        <f>F131-D131</f>
        <v>-6</v>
      </c>
      <c r="J131" s="60">
        <f>F131/D131*100</f>
        <v>80</v>
      </c>
      <c r="K131" s="60">
        <f>F131-25.4</f>
        <v>-1.3999999999999986</v>
      </c>
      <c r="L131" s="138">
        <f>F131/25.4</f>
        <v>0.9448818897637796</v>
      </c>
      <c r="M131" s="40">
        <f>E131-серпень!E131</f>
        <v>7</v>
      </c>
      <c r="N131" s="40">
        <f>F131-серпень!F131</f>
        <v>1.379999999999999</v>
      </c>
      <c r="O131" s="53">
        <f>N131-M131</f>
        <v>-5.620000000000001</v>
      </c>
      <c r="P131" s="60">
        <f>N131/M131*100</f>
        <v>19.7142857142857</v>
      </c>
      <c r="Q131" s="60">
        <f>N131-7.6</f>
        <v>-6.220000000000001</v>
      </c>
      <c r="R131" s="138">
        <f>N131/7.6</f>
        <v>0.18157894736842092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73133.18</v>
      </c>
      <c r="G134" s="50">
        <f t="shared" si="43"/>
        <v>-5304.9800000000105</v>
      </c>
      <c r="H134" s="51">
        <f>F134/E134*100</f>
        <v>93.23673579288447</v>
      </c>
      <c r="I134" s="36">
        <f t="shared" si="44"/>
        <v>-41657.44000000002</v>
      </c>
      <c r="J134" s="36">
        <f>F134/D134*100</f>
        <v>63.71006620575792</v>
      </c>
      <c r="K134" s="36">
        <f>F134-88248.3</f>
        <v>-15115.12000000001</v>
      </c>
      <c r="L134" s="136">
        <f>F134/88248.3</f>
        <v>0.8287205532571165</v>
      </c>
      <c r="M134" s="31">
        <f>M117+M131+M124+M130+M133+M132</f>
        <v>6969.519999999999</v>
      </c>
      <c r="N134" s="31">
        <f>N117+N131+N124+N130+N133+N132</f>
        <v>3206.140000000001</v>
      </c>
      <c r="O134" s="36">
        <f t="shared" si="45"/>
        <v>-3763.379999999998</v>
      </c>
      <c r="P134" s="36">
        <f>N134/M134*100</f>
        <v>46.002307189017344</v>
      </c>
      <c r="Q134" s="36">
        <f>N134-11009.7</f>
        <v>-7803.5599999999995</v>
      </c>
      <c r="R134" s="136">
        <f>N134/11009.7</f>
        <v>0.2912104780330073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418923.58</v>
      </c>
      <c r="G135" s="50">
        <f t="shared" si="43"/>
        <v>-23077.5799999999</v>
      </c>
      <c r="H135" s="51">
        <f>F135/E135*100</f>
        <v>94.77884175688591</v>
      </c>
      <c r="I135" s="36">
        <f t="shared" si="44"/>
        <v>-202746.63999999996</v>
      </c>
      <c r="J135" s="36">
        <f>F135/D135*100</f>
        <v>67.38678587499334</v>
      </c>
      <c r="K135" s="36">
        <f>F135-447136.8</f>
        <v>-28213.219999999972</v>
      </c>
      <c r="L135" s="136">
        <f>F135/447136.8</f>
        <v>0.9369024871135635</v>
      </c>
      <c r="M135" s="22">
        <f>M107+M134</f>
        <v>47898.42999999999</v>
      </c>
      <c r="N135" s="22">
        <f>N107+N134</f>
        <v>31433.440000000006</v>
      </c>
      <c r="O135" s="36">
        <f t="shared" si="45"/>
        <v>-16464.989999999987</v>
      </c>
      <c r="P135" s="36">
        <f>N135/M135*100</f>
        <v>65.6251989887769</v>
      </c>
      <c r="Q135" s="36">
        <f>N135-50142.9</f>
        <v>-18709.459999999995</v>
      </c>
      <c r="R135" s="136">
        <f>N135/50142.9</f>
        <v>0.6268771850052551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5</v>
      </c>
      <c r="D137" s="4" t="s">
        <v>118</v>
      </c>
    </row>
    <row r="138" spans="2:17" ht="31.5">
      <c r="B138" s="78" t="s">
        <v>154</v>
      </c>
      <c r="C138" s="39">
        <f>IF(O107&lt;0,ABS(O107/C137),0)</f>
        <v>2540.321999999998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41905</v>
      </c>
      <c r="D139" s="39">
        <v>1894</v>
      </c>
      <c r="N139" s="209"/>
      <c r="O139" s="209"/>
    </row>
    <row r="140" spans="3:15" ht="15.75">
      <c r="C140" s="120">
        <v>41904</v>
      </c>
      <c r="D140" s="39">
        <v>3105.1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41901</v>
      </c>
      <c r="D141" s="39">
        <v>2235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'[1]залишки  (2)'!$G$6/1000</f>
        <v>121980.30613</v>
      </c>
      <c r="E143" s="80"/>
      <c r="F143" s="100" t="s">
        <v>147</v>
      </c>
      <c r="G143" s="210" t="s">
        <v>149</v>
      </c>
      <c r="H143" s="210"/>
      <c r="I143" s="116">
        <f>'[1]залишки  (2)'!$G$10/1000</f>
        <v>112959.70959999999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'[1]надх'!$B$52/1000</f>
        <v>12629.945209999998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12629.945209999998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2014-09-24T06:54:10Z</cp:lastPrinted>
  <dcterms:created xsi:type="dcterms:W3CDTF">2003-07-28T11:27:56Z</dcterms:created>
  <dcterms:modified xsi:type="dcterms:W3CDTF">2014-09-24T06:54:25Z</dcterms:modified>
  <cp:category/>
  <cp:version/>
  <cp:contentType/>
  <cp:contentStatus/>
</cp:coreProperties>
</file>